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<sst xmlns="http://schemas.openxmlformats.org/spreadsheetml/2006/main" count="105" uniqueCount="38">
  <si>
    <t>2023年固镇县中小学教师公开招聘资格复审递补名单</t>
  </si>
  <si>
    <t>序号</t>
  </si>
  <si>
    <t>准考证号</t>
  </si>
  <si>
    <t>岗位代码</t>
  </si>
  <si>
    <t>岗位名称</t>
  </si>
  <si>
    <t>招聘单位</t>
  </si>
  <si>
    <t>姓名</t>
  </si>
  <si>
    <t>《学科专业知识》</t>
  </si>
  <si>
    <t>《教育综合知识》</t>
  </si>
  <si>
    <t>笔试总成绩</t>
  </si>
  <si>
    <t>备注</t>
  </si>
  <si>
    <t>初中语文A组</t>
  </si>
  <si>
    <t>固镇县教育体育局</t>
  </si>
  <si>
    <t>初中语文B组</t>
  </si>
  <si>
    <t>初中语文C组</t>
  </si>
  <si>
    <t>初中数学A组</t>
  </si>
  <si>
    <t>初中数学B组</t>
  </si>
  <si>
    <t>初中数学C组</t>
  </si>
  <si>
    <t>初中英语A组</t>
  </si>
  <si>
    <t>初中英语D组</t>
  </si>
  <si>
    <t>初中物理A组</t>
  </si>
  <si>
    <t>初中物理B组</t>
  </si>
  <si>
    <t>初中地理</t>
  </si>
  <si>
    <t>初中生物</t>
  </si>
  <si>
    <t>初中化学</t>
  </si>
  <si>
    <t>初中政治</t>
  </si>
  <si>
    <t>初中历史</t>
  </si>
  <si>
    <t>初中音乐</t>
  </si>
  <si>
    <t>初中信息技术</t>
  </si>
  <si>
    <t>小学语文A组</t>
  </si>
  <si>
    <t>小学语文D组</t>
  </si>
  <si>
    <t>小学英语A组</t>
  </si>
  <si>
    <t>小学英语B组</t>
  </si>
  <si>
    <t>小学音乐</t>
  </si>
  <si>
    <t>小学体育B组</t>
  </si>
  <si>
    <t>小学美术</t>
  </si>
  <si>
    <t>小学科学</t>
  </si>
  <si>
    <t>特殊教育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</si>
</sst>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workbookViewId="0">
      <selection activeCell="J3" sqref="J3:J49"/>
    </sheetView>
  </sheetViews>
  <sheetFormatPr defaultColWidth="9" defaultRowHeight="14.25"/>
  <cols>
    <col min="1" max="1" width="5.375" style="4" customWidth="1"/>
    <col min="2" max="2" width="9" style="4"/>
    <col min="3" max="3" width="8.125" style="4" customWidth="1"/>
    <col min="4" max="4" width="12.75" style="4" customWidth="1"/>
    <col min="5" max="5" width="16.625" style="4" customWidth="1"/>
    <col min="6" max="9" width="9" style="4"/>
    <col min="10" max="10" width="9.125" style="5" customWidth="1"/>
    <col min="11" max="11" width="9" style="4"/>
  </cols>
  <sheetData>
    <row r="1" ht="4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</row>
    <row r="2" s="1" customFormat="1" ht="50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2"/>
      <c r="L2" s="13"/>
    </row>
    <row r="3" s="2" customFormat="1" ht="18" customHeight="1" spans="1:14">
      <c r="A3" s="8">
        <v>1</v>
      </c>
      <c r="B3" s="8" t="str">
        <f>"23010226"</f>
        <v>23010226</v>
      </c>
      <c r="C3" s="8" t="str">
        <f>"230101"</f>
        <v>230101</v>
      </c>
      <c r="D3" s="8" t="s">
        <v>11</v>
      </c>
      <c r="E3" s="9" t="s">
        <v>12</v>
      </c>
      <c r="F3" s="8" t="str">
        <f>"常子悦"</f>
        <v>常子悦</v>
      </c>
      <c r="G3" s="10">
        <v>76</v>
      </c>
      <c r="H3" s="10">
        <v>60</v>
      </c>
      <c r="I3" s="14">
        <f>G3*0.6+H3*0.4</f>
        <v>69.6</v>
      </c>
      <c r="J3" s="8"/>
      <c r="N3" s="15"/>
    </row>
    <row r="4" s="2" customFormat="1" ht="18" customHeight="1" spans="1:10">
      <c r="A4" s="8">
        <v>2</v>
      </c>
      <c r="B4" s="8" t="str">
        <f>"23010126"</f>
        <v>23010126</v>
      </c>
      <c r="C4" s="8" t="str">
        <f>"230101"</f>
        <v>230101</v>
      </c>
      <c r="D4" s="8" t="s">
        <v>11</v>
      </c>
      <c r="E4" s="9" t="s">
        <v>12</v>
      </c>
      <c r="F4" s="8" t="str">
        <f>"张丽"</f>
        <v>张丽</v>
      </c>
      <c r="G4" s="10">
        <v>72</v>
      </c>
      <c r="H4" s="10">
        <v>66</v>
      </c>
      <c r="I4" s="14">
        <f>G4*0.6+H4*0.4</f>
        <v>69.6</v>
      </c>
      <c r="J4" s="8"/>
    </row>
    <row r="5" s="2" customFormat="1" ht="18" customHeight="1" spans="1:10">
      <c r="A5" s="8">
        <v>3</v>
      </c>
      <c r="B5" s="8" t="str">
        <f>"23010318"</f>
        <v>23010318</v>
      </c>
      <c r="C5" s="8" t="str">
        <f t="shared" ref="C5:C7" si="0">"230102"</f>
        <v>230102</v>
      </c>
      <c r="D5" s="8" t="s">
        <v>13</v>
      </c>
      <c r="E5" s="9" t="s">
        <v>12</v>
      </c>
      <c r="F5" s="8" t="str">
        <f>"李丽"</f>
        <v>李丽</v>
      </c>
      <c r="G5" s="10">
        <v>74</v>
      </c>
      <c r="H5" s="10">
        <v>79</v>
      </c>
      <c r="I5" s="14">
        <f t="shared" ref="I5:I17" si="1">G5*0.6+H5*0.4</f>
        <v>76</v>
      </c>
      <c r="J5" s="8"/>
    </row>
    <row r="6" s="2" customFormat="1" ht="18" customHeight="1" spans="1:10">
      <c r="A6" s="8">
        <v>4</v>
      </c>
      <c r="B6" s="8" t="str">
        <f>"23010423"</f>
        <v>23010423</v>
      </c>
      <c r="C6" s="8" t="str">
        <f t="shared" si="0"/>
        <v>230102</v>
      </c>
      <c r="D6" s="8" t="s">
        <v>13</v>
      </c>
      <c r="E6" s="9" t="s">
        <v>12</v>
      </c>
      <c r="F6" s="8" t="str">
        <f>"宋晓燕"</f>
        <v>宋晓燕</v>
      </c>
      <c r="G6" s="10">
        <v>83</v>
      </c>
      <c r="H6" s="10">
        <v>65</v>
      </c>
      <c r="I6" s="14">
        <f t="shared" si="1"/>
        <v>75.8</v>
      </c>
      <c r="J6" s="8"/>
    </row>
    <row r="7" s="2" customFormat="1" ht="18" customHeight="1" spans="1:10">
      <c r="A7" s="8">
        <v>5</v>
      </c>
      <c r="B7" s="8" t="str">
        <f>"23010317"</f>
        <v>23010317</v>
      </c>
      <c r="C7" s="8" t="str">
        <f t="shared" si="0"/>
        <v>230102</v>
      </c>
      <c r="D7" s="8" t="s">
        <v>13</v>
      </c>
      <c r="E7" s="9" t="s">
        <v>12</v>
      </c>
      <c r="F7" s="8" t="str">
        <f>"李宁"</f>
        <v>李宁</v>
      </c>
      <c r="G7" s="10">
        <v>70</v>
      </c>
      <c r="H7" s="10">
        <v>83</v>
      </c>
      <c r="I7" s="14">
        <f t="shared" si="1"/>
        <v>75.2</v>
      </c>
      <c r="J7" s="8"/>
    </row>
    <row r="8" s="2" customFormat="1" ht="18" customHeight="1" spans="1:10">
      <c r="A8" s="8">
        <v>6</v>
      </c>
      <c r="B8" s="8" t="str">
        <f>"23010615"</f>
        <v>23010615</v>
      </c>
      <c r="C8" s="8" t="str">
        <f>"230103"</f>
        <v>230103</v>
      </c>
      <c r="D8" s="8" t="s">
        <v>14</v>
      </c>
      <c r="E8" s="9" t="s">
        <v>12</v>
      </c>
      <c r="F8" s="8" t="str">
        <f>"郭方方"</f>
        <v>郭方方</v>
      </c>
      <c r="G8" s="10">
        <v>74</v>
      </c>
      <c r="H8" s="10">
        <v>74</v>
      </c>
      <c r="I8" s="14">
        <f t="shared" si="1"/>
        <v>74</v>
      </c>
      <c r="J8" s="8"/>
    </row>
    <row r="9" s="2" customFormat="1" ht="18" customHeight="1" spans="1:10">
      <c r="A9" s="8">
        <v>7</v>
      </c>
      <c r="B9" s="8" t="str">
        <f>"23010516"</f>
        <v>23010516</v>
      </c>
      <c r="C9" s="8" t="str">
        <f>"230103"</f>
        <v>230103</v>
      </c>
      <c r="D9" s="8" t="s">
        <v>14</v>
      </c>
      <c r="E9" s="9" t="s">
        <v>12</v>
      </c>
      <c r="F9" s="8" t="str">
        <f>"陈飞飞"</f>
        <v>陈飞飞</v>
      </c>
      <c r="G9" s="10">
        <v>67</v>
      </c>
      <c r="H9" s="10">
        <v>84</v>
      </c>
      <c r="I9" s="14">
        <f t="shared" si="1"/>
        <v>73.8</v>
      </c>
      <c r="J9" s="8"/>
    </row>
    <row r="10" s="3" customFormat="1" ht="18" customHeight="1" spans="1:11">
      <c r="A10" s="8">
        <v>8</v>
      </c>
      <c r="B10" s="8" t="str">
        <f>"23012210"</f>
        <v>23012210</v>
      </c>
      <c r="C10" s="8" t="str">
        <f>"230104"</f>
        <v>230104</v>
      </c>
      <c r="D10" s="8" t="s">
        <v>15</v>
      </c>
      <c r="E10" s="9" t="s">
        <v>12</v>
      </c>
      <c r="F10" s="8" t="str">
        <f>"毕露露"</f>
        <v>毕露露</v>
      </c>
      <c r="G10" s="10">
        <v>72</v>
      </c>
      <c r="H10" s="10">
        <v>86</v>
      </c>
      <c r="I10" s="14">
        <f t="shared" si="1"/>
        <v>77.6</v>
      </c>
      <c r="J10" s="8"/>
      <c r="K10" s="2"/>
    </row>
    <row r="11" s="3" customFormat="1" ht="18" customHeight="1" spans="1:11">
      <c r="A11" s="8">
        <v>9</v>
      </c>
      <c r="B11" s="8" t="str">
        <f>"23012401"</f>
        <v>23012401</v>
      </c>
      <c r="C11" s="8" t="str">
        <f>"230105"</f>
        <v>230105</v>
      </c>
      <c r="D11" s="8" t="s">
        <v>16</v>
      </c>
      <c r="E11" s="9" t="s">
        <v>12</v>
      </c>
      <c r="F11" s="8" t="str">
        <f>"贾静娴"</f>
        <v>贾静娴</v>
      </c>
      <c r="G11" s="10">
        <v>88</v>
      </c>
      <c r="H11" s="10">
        <v>78</v>
      </c>
      <c r="I11" s="14">
        <f t="shared" si="1"/>
        <v>84</v>
      </c>
      <c r="J11" s="8"/>
      <c r="K11" s="2"/>
    </row>
    <row r="12" s="3" customFormat="1" ht="18" customHeight="1" spans="1:11">
      <c r="A12" s="8">
        <v>10</v>
      </c>
      <c r="B12" s="8" t="str">
        <f>"23012507"</f>
        <v>23012507</v>
      </c>
      <c r="C12" s="8" t="str">
        <f>"230105"</f>
        <v>230105</v>
      </c>
      <c r="D12" s="8" t="s">
        <v>16</v>
      </c>
      <c r="E12" s="9" t="s">
        <v>12</v>
      </c>
      <c r="F12" s="8" t="str">
        <f>"李媛媛"</f>
        <v>李媛媛</v>
      </c>
      <c r="G12" s="10">
        <v>89</v>
      </c>
      <c r="H12" s="10">
        <v>75</v>
      </c>
      <c r="I12" s="14">
        <f t="shared" si="1"/>
        <v>83.4</v>
      </c>
      <c r="J12" s="8"/>
      <c r="K12" s="2"/>
    </row>
    <row r="13" s="3" customFormat="1" ht="18" customHeight="1" spans="1:11">
      <c r="A13" s="8">
        <v>11</v>
      </c>
      <c r="B13" s="8" t="str">
        <f>"23012626"</f>
        <v>23012626</v>
      </c>
      <c r="C13" s="8" t="str">
        <f t="shared" ref="C13:C15" si="2">"230106"</f>
        <v>230106</v>
      </c>
      <c r="D13" s="8" t="s">
        <v>17</v>
      </c>
      <c r="E13" s="9" t="s">
        <v>12</v>
      </c>
      <c r="F13" s="8" t="str">
        <f>"张继成"</f>
        <v>张继成</v>
      </c>
      <c r="G13" s="10">
        <v>75</v>
      </c>
      <c r="H13" s="10">
        <v>88</v>
      </c>
      <c r="I13" s="14">
        <f t="shared" si="1"/>
        <v>80.2</v>
      </c>
      <c r="J13" s="8"/>
      <c r="K13" s="2"/>
    </row>
    <row r="14" s="3" customFormat="1" ht="18" customHeight="1" spans="1:11">
      <c r="A14" s="8">
        <v>12</v>
      </c>
      <c r="B14" s="8" t="str">
        <f>"23012526"</f>
        <v>23012526</v>
      </c>
      <c r="C14" s="8" t="str">
        <f t="shared" si="2"/>
        <v>230106</v>
      </c>
      <c r="D14" s="8" t="s">
        <v>17</v>
      </c>
      <c r="E14" s="9" t="s">
        <v>12</v>
      </c>
      <c r="F14" s="8" t="str">
        <f>"张鹏"</f>
        <v>张鹏</v>
      </c>
      <c r="G14" s="10">
        <v>77</v>
      </c>
      <c r="H14" s="10">
        <v>82</v>
      </c>
      <c r="I14" s="14">
        <f t="shared" si="1"/>
        <v>79</v>
      </c>
      <c r="J14" s="8"/>
      <c r="K14" s="2"/>
    </row>
    <row r="15" s="3" customFormat="1" ht="18" customHeight="1" spans="1:11">
      <c r="A15" s="8">
        <v>13</v>
      </c>
      <c r="B15" s="8" t="str">
        <f>"23012511"</f>
        <v>23012511</v>
      </c>
      <c r="C15" s="8" t="str">
        <f t="shared" si="2"/>
        <v>230106</v>
      </c>
      <c r="D15" s="8" t="s">
        <v>17</v>
      </c>
      <c r="E15" s="9" t="s">
        <v>12</v>
      </c>
      <c r="F15" s="8" t="str">
        <f>"耿冀川"</f>
        <v>耿冀川</v>
      </c>
      <c r="G15" s="10">
        <v>76</v>
      </c>
      <c r="H15" s="10">
        <v>78</v>
      </c>
      <c r="I15" s="14">
        <f t="shared" si="1"/>
        <v>76.8</v>
      </c>
      <c r="J15" s="8"/>
      <c r="K15" s="2"/>
    </row>
    <row r="16" s="3" customFormat="1" ht="18" customHeight="1" spans="1:11">
      <c r="A16" s="8">
        <v>14</v>
      </c>
      <c r="B16" s="8" t="str">
        <f>"23011019"</f>
        <v>23011019</v>
      </c>
      <c r="C16" s="8" t="str">
        <f>"230107"</f>
        <v>230107</v>
      </c>
      <c r="D16" s="8" t="s">
        <v>18</v>
      </c>
      <c r="E16" s="9" t="s">
        <v>12</v>
      </c>
      <c r="F16" s="8" t="str">
        <f>"王立娴"</f>
        <v>王立娴</v>
      </c>
      <c r="G16" s="10">
        <v>96.5</v>
      </c>
      <c r="H16" s="10">
        <v>92</v>
      </c>
      <c r="I16" s="14">
        <f t="shared" si="1"/>
        <v>94.7</v>
      </c>
      <c r="J16" s="8"/>
      <c r="K16" s="2"/>
    </row>
    <row r="17" s="3" customFormat="1" ht="18" customHeight="1" spans="1:11">
      <c r="A17" s="8">
        <v>15</v>
      </c>
      <c r="B17" s="8" t="str">
        <f>"23012028"</f>
        <v>23012028</v>
      </c>
      <c r="C17" s="8" t="str">
        <f>"230110"</f>
        <v>230110</v>
      </c>
      <c r="D17" s="8" t="s">
        <v>19</v>
      </c>
      <c r="E17" s="9" t="s">
        <v>12</v>
      </c>
      <c r="F17" s="8" t="str">
        <f>"王俊君"</f>
        <v>王俊君</v>
      </c>
      <c r="G17" s="10">
        <v>94.5</v>
      </c>
      <c r="H17" s="10">
        <v>96</v>
      </c>
      <c r="I17" s="14">
        <f t="shared" si="1"/>
        <v>95.1</v>
      </c>
      <c r="J17" s="8"/>
      <c r="K17" s="2"/>
    </row>
    <row r="18" s="3" customFormat="1" ht="18" customHeight="1" spans="1:11">
      <c r="A18" s="8">
        <v>16</v>
      </c>
      <c r="B18" s="8" t="str">
        <f>"23012814"</f>
        <v>23012814</v>
      </c>
      <c r="C18" s="8" t="str">
        <f>"230111"</f>
        <v>230111</v>
      </c>
      <c r="D18" s="8" t="s">
        <v>20</v>
      </c>
      <c r="E18" s="9" t="s">
        <v>12</v>
      </c>
      <c r="F18" s="8" t="str">
        <f>"刘长松"</f>
        <v>刘长松</v>
      </c>
      <c r="G18" s="10">
        <v>38</v>
      </c>
      <c r="H18" s="10">
        <v>83</v>
      </c>
      <c r="I18" s="14">
        <f t="shared" ref="I18:I21" si="3">G18+H18*0.4</f>
        <v>71.2</v>
      </c>
      <c r="J18" s="8"/>
      <c r="K18" s="2"/>
    </row>
    <row r="19" s="3" customFormat="1" ht="18" customHeight="1" spans="1:11">
      <c r="A19" s="8">
        <v>17</v>
      </c>
      <c r="B19" s="8" t="str">
        <f>"23012815"</f>
        <v>23012815</v>
      </c>
      <c r="C19" s="8" t="str">
        <f>"230111"</f>
        <v>230111</v>
      </c>
      <c r="D19" s="8" t="s">
        <v>20</v>
      </c>
      <c r="E19" s="9" t="s">
        <v>12</v>
      </c>
      <c r="F19" s="8" t="str">
        <f>"张敬威"</f>
        <v>张敬威</v>
      </c>
      <c r="G19" s="10">
        <v>34</v>
      </c>
      <c r="H19" s="10">
        <v>93</v>
      </c>
      <c r="I19" s="14">
        <f t="shared" si="3"/>
        <v>71.2</v>
      </c>
      <c r="J19" s="8"/>
      <c r="K19" s="2"/>
    </row>
    <row r="20" s="3" customFormat="1" ht="18" customHeight="1" spans="1:11">
      <c r="A20" s="8">
        <v>18</v>
      </c>
      <c r="B20" s="8" t="str">
        <f>"23012919"</f>
        <v>23012919</v>
      </c>
      <c r="C20" s="8" t="str">
        <f>"230112"</f>
        <v>230112</v>
      </c>
      <c r="D20" s="8" t="s">
        <v>21</v>
      </c>
      <c r="E20" s="9" t="s">
        <v>12</v>
      </c>
      <c r="F20" s="8" t="str">
        <f>"李志朋"</f>
        <v>李志朋</v>
      </c>
      <c r="G20" s="10">
        <v>52</v>
      </c>
      <c r="H20" s="10">
        <v>69</v>
      </c>
      <c r="I20" s="14">
        <f t="shared" si="3"/>
        <v>79.6</v>
      </c>
      <c r="J20" s="8"/>
      <c r="K20" s="2"/>
    </row>
    <row r="21" s="3" customFormat="1" ht="18" customHeight="1" spans="1:11">
      <c r="A21" s="8">
        <v>19</v>
      </c>
      <c r="B21" s="8" t="str">
        <f>"23013016"</f>
        <v>23013016</v>
      </c>
      <c r="C21" s="8" t="str">
        <f>"230112"</f>
        <v>230112</v>
      </c>
      <c r="D21" s="8" t="s">
        <v>21</v>
      </c>
      <c r="E21" s="9" t="s">
        <v>12</v>
      </c>
      <c r="F21" s="8" t="str">
        <f>"李申"</f>
        <v>李申</v>
      </c>
      <c r="G21" s="10">
        <v>41</v>
      </c>
      <c r="H21" s="10">
        <v>90</v>
      </c>
      <c r="I21" s="14">
        <f t="shared" si="3"/>
        <v>77</v>
      </c>
      <c r="J21" s="8"/>
      <c r="K21" s="2"/>
    </row>
    <row r="22" s="3" customFormat="1" ht="18" customHeight="1" spans="1:11">
      <c r="A22" s="8">
        <v>20</v>
      </c>
      <c r="B22" s="8" t="str">
        <f>"23010716"</f>
        <v>23010716</v>
      </c>
      <c r="C22" s="8" t="str">
        <f>"230113"</f>
        <v>230113</v>
      </c>
      <c r="D22" s="8" t="s">
        <v>22</v>
      </c>
      <c r="E22" s="9" t="s">
        <v>12</v>
      </c>
      <c r="F22" s="8" t="str">
        <f>"卞睿"</f>
        <v>卞睿</v>
      </c>
      <c r="G22" s="10">
        <v>83</v>
      </c>
      <c r="H22" s="10">
        <v>67</v>
      </c>
      <c r="I22" s="14">
        <f t="shared" ref="I22:I27" si="4">G22*0.6+H22*0.4</f>
        <v>76.6</v>
      </c>
      <c r="J22" s="8"/>
      <c r="K22" s="2"/>
    </row>
    <row r="23" s="3" customFormat="1" ht="18" customHeight="1" spans="1:11">
      <c r="A23" s="8">
        <v>21</v>
      </c>
      <c r="B23" s="8" t="str">
        <f>"23013524"</f>
        <v>23013524</v>
      </c>
      <c r="C23" s="8" t="str">
        <f>"230114"</f>
        <v>230114</v>
      </c>
      <c r="D23" s="8" t="s">
        <v>23</v>
      </c>
      <c r="E23" s="9" t="s">
        <v>12</v>
      </c>
      <c r="F23" s="8" t="str">
        <f>"王紫含"</f>
        <v>王紫含</v>
      </c>
      <c r="G23" s="10">
        <v>78</v>
      </c>
      <c r="H23" s="10">
        <v>63</v>
      </c>
      <c r="I23" s="14">
        <f t="shared" si="4"/>
        <v>72</v>
      </c>
      <c r="J23" s="8"/>
      <c r="K23" s="2"/>
    </row>
    <row r="24" s="3" customFormat="1" ht="18" customHeight="1" spans="1:11">
      <c r="A24" s="8">
        <v>22</v>
      </c>
      <c r="B24" s="8" t="str">
        <f>"23013311"</f>
        <v>23013311</v>
      </c>
      <c r="C24" s="8" t="str">
        <f>"230115"</f>
        <v>230115</v>
      </c>
      <c r="D24" s="8" t="s">
        <v>24</v>
      </c>
      <c r="E24" s="9" t="s">
        <v>12</v>
      </c>
      <c r="F24" s="8" t="str">
        <f>"韩军梦"</f>
        <v>韩军梦</v>
      </c>
      <c r="G24" s="10">
        <v>107</v>
      </c>
      <c r="H24" s="10">
        <v>77</v>
      </c>
      <c r="I24" s="14">
        <f t="shared" si="4"/>
        <v>95</v>
      </c>
      <c r="J24" s="8"/>
      <c r="K24" s="2"/>
    </row>
    <row r="25" s="3" customFormat="1" ht="18" customHeight="1" spans="1:11">
      <c r="A25" s="8">
        <v>23</v>
      </c>
      <c r="B25" s="8" t="str">
        <f>"23012115"</f>
        <v>23012115</v>
      </c>
      <c r="C25" s="8" t="str">
        <f t="shared" ref="C25:C27" si="5">"230116"</f>
        <v>230116</v>
      </c>
      <c r="D25" s="8" t="s">
        <v>25</v>
      </c>
      <c r="E25" s="9" t="s">
        <v>12</v>
      </c>
      <c r="F25" s="8" t="str">
        <f>"程晗"</f>
        <v>程晗</v>
      </c>
      <c r="G25" s="10">
        <v>73</v>
      </c>
      <c r="H25" s="10">
        <v>65</v>
      </c>
      <c r="I25" s="14">
        <f t="shared" si="4"/>
        <v>69.8</v>
      </c>
      <c r="J25" s="8"/>
      <c r="K25" s="2"/>
    </row>
    <row r="26" s="3" customFormat="1" ht="18" customHeight="1" spans="1:11">
      <c r="A26" s="8">
        <v>24</v>
      </c>
      <c r="B26" s="8" t="str">
        <f>"23012126"</f>
        <v>23012126</v>
      </c>
      <c r="C26" s="8" t="str">
        <f t="shared" si="5"/>
        <v>230116</v>
      </c>
      <c r="D26" s="8" t="s">
        <v>25</v>
      </c>
      <c r="E26" s="9" t="s">
        <v>12</v>
      </c>
      <c r="F26" s="8" t="str">
        <f>"张志娟"</f>
        <v>张志娟</v>
      </c>
      <c r="G26" s="10">
        <v>73</v>
      </c>
      <c r="H26" s="10">
        <v>64</v>
      </c>
      <c r="I26" s="14">
        <f t="shared" si="4"/>
        <v>69.4</v>
      </c>
      <c r="J26" s="8"/>
      <c r="K26" s="2"/>
    </row>
    <row r="27" s="3" customFormat="1" ht="18" customHeight="1" spans="1:11">
      <c r="A27" s="8">
        <v>25</v>
      </c>
      <c r="B27" s="8" t="str">
        <f>"23012120"</f>
        <v>23012120</v>
      </c>
      <c r="C27" s="8" t="str">
        <f t="shared" si="5"/>
        <v>230116</v>
      </c>
      <c r="D27" s="8" t="s">
        <v>25</v>
      </c>
      <c r="E27" s="9" t="s">
        <v>12</v>
      </c>
      <c r="F27" s="8" t="str">
        <f>"张大财"</f>
        <v>张大财</v>
      </c>
      <c r="G27" s="10">
        <v>67</v>
      </c>
      <c r="H27" s="10">
        <v>71</v>
      </c>
      <c r="I27" s="14">
        <f t="shared" si="4"/>
        <v>68.6</v>
      </c>
      <c r="J27" s="8"/>
      <c r="K27" s="2"/>
    </row>
    <row r="28" s="3" customFormat="1" ht="18" customHeight="1" spans="1:11">
      <c r="A28" s="8">
        <v>26</v>
      </c>
      <c r="B28" s="8" t="str">
        <f>"23013403"</f>
        <v>23013403</v>
      </c>
      <c r="C28" s="8" t="str">
        <f t="shared" ref="C28:C31" si="6">"230117"</f>
        <v>230117</v>
      </c>
      <c r="D28" s="8" t="s">
        <v>26</v>
      </c>
      <c r="E28" s="9" t="s">
        <v>12</v>
      </c>
      <c r="F28" s="8" t="str">
        <f>"王宁"</f>
        <v>王宁</v>
      </c>
      <c r="G28" s="10">
        <v>75</v>
      </c>
      <c r="H28" s="10">
        <v>69</v>
      </c>
      <c r="I28" s="14">
        <f t="shared" ref="I28:I31" si="7">G28*1.2*0.6+H28*0.4</f>
        <v>81.6</v>
      </c>
      <c r="J28" s="8"/>
      <c r="K28" s="2"/>
    </row>
    <row r="29" s="3" customFormat="1" ht="18" customHeight="1" spans="1:11">
      <c r="A29" s="8">
        <v>27</v>
      </c>
      <c r="B29" s="8" t="str">
        <f>"23013418"</f>
        <v>23013418</v>
      </c>
      <c r="C29" s="8" t="str">
        <f t="shared" si="6"/>
        <v>230117</v>
      </c>
      <c r="D29" s="8" t="s">
        <v>26</v>
      </c>
      <c r="E29" s="9" t="s">
        <v>12</v>
      </c>
      <c r="F29" s="8" t="str">
        <f>"刘欣"</f>
        <v>刘欣</v>
      </c>
      <c r="G29" s="10">
        <v>68</v>
      </c>
      <c r="H29" s="10">
        <v>68</v>
      </c>
      <c r="I29" s="14">
        <f t="shared" si="7"/>
        <v>76.16</v>
      </c>
      <c r="J29" s="8"/>
      <c r="K29" s="2"/>
    </row>
    <row r="30" s="3" customFormat="1" ht="18" customHeight="1" spans="1:11">
      <c r="A30" s="8">
        <v>28</v>
      </c>
      <c r="B30" s="8" t="str">
        <f>"23013417"</f>
        <v>23013417</v>
      </c>
      <c r="C30" s="8" t="str">
        <f t="shared" si="6"/>
        <v>230117</v>
      </c>
      <c r="D30" s="8" t="s">
        <v>26</v>
      </c>
      <c r="E30" s="9" t="s">
        <v>12</v>
      </c>
      <c r="F30" s="8" t="str">
        <f>"叶凤芹"</f>
        <v>叶凤芹</v>
      </c>
      <c r="G30" s="10">
        <v>70</v>
      </c>
      <c r="H30" s="10">
        <v>59</v>
      </c>
      <c r="I30" s="14">
        <f t="shared" si="7"/>
        <v>74</v>
      </c>
      <c r="J30" s="8"/>
      <c r="K30" s="2"/>
    </row>
    <row r="31" s="3" customFormat="1" ht="18" customHeight="1" spans="1:11">
      <c r="A31" s="8">
        <v>29</v>
      </c>
      <c r="B31" s="8" t="str">
        <f>"23013411"</f>
        <v>23013411</v>
      </c>
      <c r="C31" s="8" t="str">
        <f t="shared" si="6"/>
        <v>230117</v>
      </c>
      <c r="D31" s="8" t="s">
        <v>26</v>
      </c>
      <c r="E31" s="9" t="s">
        <v>12</v>
      </c>
      <c r="F31" s="8" t="str">
        <f>"卢芳玉"</f>
        <v>卢芳玉</v>
      </c>
      <c r="G31" s="10">
        <v>56</v>
      </c>
      <c r="H31" s="10">
        <v>68</v>
      </c>
      <c r="I31" s="14">
        <f t="shared" si="7"/>
        <v>67.52</v>
      </c>
      <c r="J31" s="8"/>
      <c r="K31" s="2"/>
    </row>
    <row r="32" s="3" customFormat="1" ht="18" customHeight="1" spans="1:11">
      <c r="A32" s="8">
        <v>30</v>
      </c>
      <c r="B32" s="8" t="str">
        <f>"23013107"</f>
        <v>23013107</v>
      </c>
      <c r="C32" s="8" t="str">
        <f>"230118"</f>
        <v>230118</v>
      </c>
      <c r="D32" s="8" t="s">
        <v>27</v>
      </c>
      <c r="E32" s="9" t="s">
        <v>12</v>
      </c>
      <c r="F32" s="8" t="str">
        <f>"邹洋"</f>
        <v>邹洋</v>
      </c>
      <c r="G32" s="10">
        <v>89</v>
      </c>
      <c r="H32" s="10">
        <v>77</v>
      </c>
      <c r="I32" s="14">
        <f t="shared" ref="I32:I37" si="8">G32*0.6+H32*0.4</f>
        <v>84.2</v>
      </c>
      <c r="J32" s="8"/>
      <c r="K32" s="2"/>
    </row>
    <row r="33" s="3" customFormat="1" ht="18" customHeight="1" spans="1:11">
      <c r="A33" s="8">
        <v>31</v>
      </c>
      <c r="B33" s="8" t="str">
        <f>"23013628"</f>
        <v>23013628</v>
      </c>
      <c r="C33" s="8" t="str">
        <f>"230121"</f>
        <v>230121</v>
      </c>
      <c r="D33" s="8" t="s">
        <v>28</v>
      </c>
      <c r="E33" s="9" t="s">
        <v>12</v>
      </c>
      <c r="F33" s="8" t="str">
        <f>"陈竞争"</f>
        <v>陈竞争</v>
      </c>
      <c r="G33" s="10">
        <v>58</v>
      </c>
      <c r="H33" s="10">
        <v>73</v>
      </c>
      <c r="I33" s="14">
        <f t="shared" si="8"/>
        <v>64</v>
      </c>
      <c r="J33" s="8"/>
      <c r="K33" s="2"/>
    </row>
    <row r="34" s="2" customFormat="1" ht="18" customHeight="1" spans="1:10">
      <c r="A34" s="8">
        <v>32</v>
      </c>
      <c r="B34" s="8" t="str">
        <f>"23031313"</f>
        <v>23031313</v>
      </c>
      <c r="C34" s="8" t="str">
        <f>"230201"</f>
        <v>230201</v>
      </c>
      <c r="D34" s="8" t="s">
        <v>29</v>
      </c>
      <c r="E34" s="9" t="s">
        <v>12</v>
      </c>
      <c r="F34" s="8" t="str">
        <f>"邵绸绸"</f>
        <v>邵绸绸</v>
      </c>
      <c r="G34" s="10">
        <v>101</v>
      </c>
      <c r="H34" s="10">
        <v>81</v>
      </c>
      <c r="I34" s="14">
        <f t="shared" si="8"/>
        <v>93</v>
      </c>
      <c r="J34" s="8"/>
    </row>
    <row r="35" s="3" customFormat="1" ht="18" customHeight="1" spans="1:11">
      <c r="A35" s="8">
        <v>33</v>
      </c>
      <c r="B35" s="8" t="str">
        <f>"23035223"</f>
        <v>23035223</v>
      </c>
      <c r="C35" s="8" t="str">
        <f t="shared" ref="C35:C37" si="9">"230204"</f>
        <v>230204</v>
      </c>
      <c r="D35" s="8" t="s">
        <v>30</v>
      </c>
      <c r="E35" s="9" t="s">
        <v>12</v>
      </c>
      <c r="F35" s="8" t="str">
        <f>"刘依晴"</f>
        <v>刘依晴</v>
      </c>
      <c r="G35" s="10">
        <v>98.5</v>
      </c>
      <c r="H35" s="10">
        <v>89.5</v>
      </c>
      <c r="I35" s="14">
        <f t="shared" si="8"/>
        <v>94.9</v>
      </c>
      <c r="J35" s="8"/>
      <c r="K35" s="2"/>
    </row>
    <row r="36" s="3" customFormat="1" ht="18" customHeight="1" spans="1:11">
      <c r="A36" s="8">
        <v>34</v>
      </c>
      <c r="B36" s="8" t="str">
        <f>"23035718"</f>
        <v>23035718</v>
      </c>
      <c r="C36" s="8" t="str">
        <f t="shared" si="9"/>
        <v>230204</v>
      </c>
      <c r="D36" s="8" t="s">
        <v>30</v>
      </c>
      <c r="E36" s="9" t="s">
        <v>12</v>
      </c>
      <c r="F36" s="8" t="str">
        <f>"孟妍"</f>
        <v>孟妍</v>
      </c>
      <c r="G36" s="10">
        <v>99</v>
      </c>
      <c r="H36" s="10">
        <v>87</v>
      </c>
      <c r="I36" s="14">
        <f t="shared" si="8"/>
        <v>94.2</v>
      </c>
      <c r="J36" s="8"/>
      <c r="K36" s="2"/>
    </row>
    <row r="37" s="3" customFormat="1" ht="18" customHeight="1" spans="1:11">
      <c r="A37" s="8">
        <v>35</v>
      </c>
      <c r="B37" s="8" t="str">
        <f>"23035907"</f>
        <v>23035907</v>
      </c>
      <c r="C37" s="8" t="str">
        <f t="shared" si="9"/>
        <v>230204</v>
      </c>
      <c r="D37" s="8" t="s">
        <v>30</v>
      </c>
      <c r="E37" s="9" t="s">
        <v>12</v>
      </c>
      <c r="F37" s="8" t="str">
        <f>"崔佳丽"</f>
        <v>崔佳丽</v>
      </c>
      <c r="G37" s="10">
        <v>93</v>
      </c>
      <c r="H37" s="10">
        <v>96</v>
      </c>
      <c r="I37" s="14">
        <f t="shared" si="8"/>
        <v>94.2</v>
      </c>
      <c r="J37" s="8"/>
      <c r="K37" s="2"/>
    </row>
    <row r="38" s="2" customFormat="1" ht="18" customHeight="1" spans="1:10">
      <c r="A38" s="8">
        <v>36</v>
      </c>
      <c r="B38" s="8" t="str">
        <f>"23045203"</f>
        <v>23045203</v>
      </c>
      <c r="C38" s="8" t="str">
        <f t="shared" ref="C38:C40" si="10">"230209"</f>
        <v>230209</v>
      </c>
      <c r="D38" s="8" t="s">
        <v>31</v>
      </c>
      <c r="E38" s="9" t="s">
        <v>12</v>
      </c>
      <c r="F38" s="8" t="str">
        <f>"张新雨"</f>
        <v>张新雨</v>
      </c>
      <c r="G38" s="10">
        <v>89.5</v>
      </c>
      <c r="H38" s="10">
        <v>82</v>
      </c>
      <c r="I38" s="14">
        <f t="shared" ref="I38:I51" si="11">G38*0.6+H38*0.4</f>
        <v>86.5</v>
      </c>
      <c r="J38" s="8"/>
    </row>
    <row r="39" s="2" customFormat="1" ht="18" customHeight="1" spans="1:10">
      <c r="A39" s="8">
        <v>37</v>
      </c>
      <c r="B39" s="8" t="str">
        <f>"23045527"</f>
        <v>23045527</v>
      </c>
      <c r="C39" s="8" t="str">
        <f t="shared" si="10"/>
        <v>230209</v>
      </c>
      <c r="D39" s="8" t="s">
        <v>31</v>
      </c>
      <c r="E39" s="9" t="s">
        <v>12</v>
      </c>
      <c r="F39" s="8" t="str">
        <f>"胡雪纯"</f>
        <v>胡雪纯</v>
      </c>
      <c r="G39" s="10">
        <v>84</v>
      </c>
      <c r="H39" s="10">
        <v>90</v>
      </c>
      <c r="I39" s="14">
        <f t="shared" si="11"/>
        <v>86.4</v>
      </c>
      <c r="J39" s="8"/>
    </row>
    <row r="40" s="2" customFormat="1" ht="18" customHeight="1" spans="1:10">
      <c r="A40" s="8">
        <v>38</v>
      </c>
      <c r="B40" s="8" t="str">
        <f>"23045417"</f>
        <v>23045417</v>
      </c>
      <c r="C40" s="8" t="str">
        <f t="shared" si="10"/>
        <v>230209</v>
      </c>
      <c r="D40" s="8" t="s">
        <v>31</v>
      </c>
      <c r="E40" s="9" t="s">
        <v>12</v>
      </c>
      <c r="F40" s="8" t="str">
        <f>"耿静"</f>
        <v>耿静</v>
      </c>
      <c r="G40" s="10">
        <v>79</v>
      </c>
      <c r="H40" s="10">
        <v>97.5</v>
      </c>
      <c r="I40" s="14">
        <f t="shared" si="11"/>
        <v>86.4</v>
      </c>
      <c r="J40" s="8"/>
    </row>
    <row r="41" s="3" customFormat="1" ht="18" customHeight="1" spans="1:11">
      <c r="A41" s="8">
        <v>39</v>
      </c>
      <c r="B41" s="8" t="str">
        <f>"23046122"</f>
        <v>23046122</v>
      </c>
      <c r="C41" s="8" t="str">
        <f>"230210"</f>
        <v>230210</v>
      </c>
      <c r="D41" s="8" t="s">
        <v>32</v>
      </c>
      <c r="E41" s="9" t="s">
        <v>12</v>
      </c>
      <c r="F41" s="8" t="str">
        <f>"朱艳"</f>
        <v>朱艳</v>
      </c>
      <c r="G41" s="10">
        <v>86.5</v>
      </c>
      <c r="H41" s="10">
        <v>78.5</v>
      </c>
      <c r="I41" s="14">
        <f t="shared" si="11"/>
        <v>83.3</v>
      </c>
      <c r="J41" s="8"/>
      <c r="K41" s="2"/>
    </row>
    <row r="42" s="2" customFormat="1" ht="18" customHeight="1" spans="1:10">
      <c r="A42" s="8">
        <v>40</v>
      </c>
      <c r="B42" s="8" t="str">
        <f>"23020704"</f>
        <v>23020704</v>
      </c>
      <c r="C42" s="8" t="str">
        <f t="shared" ref="C42:C44" si="12">"230212"</f>
        <v>230212</v>
      </c>
      <c r="D42" s="8" t="s">
        <v>33</v>
      </c>
      <c r="E42" s="9" t="s">
        <v>12</v>
      </c>
      <c r="F42" s="8" t="str">
        <f>"尚晨晖"</f>
        <v>尚晨晖</v>
      </c>
      <c r="G42" s="10">
        <v>92</v>
      </c>
      <c r="H42" s="10">
        <v>75</v>
      </c>
      <c r="I42" s="14">
        <f t="shared" si="11"/>
        <v>85.2</v>
      </c>
      <c r="J42" s="8"/>
    </row>
    <row r="43" s="2" customFormat="1" ht="18" customHeight="1" spans="1:10">
      <c r="A43" s="8">
        <v>41</v>
      </c>
      <c r="B43" s="8" t="str">
        <f>"23020415"</f>
        <v>23020415</v>
      </c>
      <c r="C43" s="8" t="str">
        <f t="shared" si="12"/>
        <v>230212</v>
      </c>
      <c r="D43" s="8" t="s">
        <v>33</v>
      </c>
      <c r="E43" s="9" t="s">
        <v>12</v>
      </c>
      <c r="F43" s="8" t="str">
        <f>"汪雪"</f>
        <v>汪雪</v>
      </c>
      <c r="G43" s="10">
        <v>90</v>
      </c>
      <c r="H43" s="10">
        <v>77.5</v>
      </c>
      <c r="I43" s="14">
        <f t="shared" si="11"/>
        <v>85</v>
      </c>
      <c r="J43" s="8"/>
    </row>
    <row r="44" s="2" customFormat="1" ht="18" customHeight="1" spans="1:10">
      <c r="A44" s="8">
        <v>42</v>
      </c>
      <c r="B44" s="8" t="str">
        <f>"23020111"</f>
        <v>23020111</v>
      </c>
      <c r="C44" s="8" t="str">
        <f t="shared" si="12"/>
        <v>230212</v>
      </c>
      <c r="D44" s="8" t="s">
        <v>33</v>
      </c>
      <c r="E44" s="9" t="s">
        <v>12</v>
      </c>
      <c r="F44" s="8" t="str">
        <f>"孙灿"</f>
        <v>孙灿</v>
      </c>
      <c r="G44" s="10">
        <v>81</v>
      </c>
      <c r="H44" s="10">
        <v>91</v>
      </c>
      <c r="I44" s="14">
        <f t="shared" si="11"/>
        <v>85</v>
      </c>
      <c r="J44" s="8"/>
    </row>
    <row r="45" s="2" customFormat="1" ht="18" customHeight="1" spans="1:10">
      <c r="A45" s="8">
        <v>43</v>
      </c>
      <c r="B45" s="8" t="str">
        <f>"23021519"</f>
        <v>23021519</v>
      </c>
      <c r="C45" s="8" t="str">
        <f>"230214"</f>
        <v>230214</v>
      </c>
      <c r="D45" s="8" t="s">
        <v>34</v>
      </c>
      <c r="E45" s="9" t="s">
        <v>12</v>
      </c>
      <c r="F45" s="8" t="str">
        <f>"雷丽雯"</f>
        <v>雷丽雯</v>
      </c>
      <c r="G45" s="10">
        <v>82.5</v>
      </c>
      <c r="H45" s="10">
        <v>85</v>
      </c>
      <c r="I45" s="14">
        <f t="shared" si="11"/>
        <v>83.5</v>
      </c>
      <c r="J45" s="8"/>
    </row>
    <row r="46" s="2" customFormat="1" ht="18" customHeight="1" spans="1:10">
      <c r="A46" s="8">
        <v>44</v>
      </c>
      <c r="B46" s="8" t="str">
        <f>"23022323"</f>
        <v>23022323</v>
      </c>
      <c r="C46" s="8" t="str">
        <f>"230215"</f>
        <v>230215</v>
      </c>
      <c r="D46" s="8" t="s">
        <v>35</v>
      </c>
      <c r="E46" s="9" t="s">
        <v>12</v>
      </c>
      <c r="F46" s="8" t="str">
        <f>"梁琛"</f>
        <v>梁琛</v>
      </c>
      <c r="G46" s="10">
        <v>93.5</v>
      </c>
      <c r="H46" s="10">
        <v>78</v>
      </c>
      <c r="I46" s="14">
        <f t="shared" si="11"/>
        <v>87.3</v>
      </c>
      <c r="J46" s="8"/>
    </row>
    <row r="47" s="2" customFormat="1" ht="18" customHeight="1" spans="1:10">
      <c r="A47" s="8">
        <v>45</v>
      </c>
      <c r="B47" s="8" t="str">
        <f>"23036324"</f>
        <v>23036324</v>
      </c>
      <c r="C47" s="8" t="str">
        <f>"230216"</f>
        <v>230216</v>
      </c>
      <c r="D47" s="8" t="s">
        <v>36</v>
      </c>
      <c r="E47" s="9" t="s">
        <v>12</v>
      </c>
      <c r="F47" s="8" t="str">
        <f>"胡婧"</f>
        <v>胡婧</v>
      </c>
      <c r="G47" s="10">
        <v>77</v>
      </c>
      <c r="H47" s="10">
        <v>91</v>
      </c>
      <c r="I47" s="14">
        <f t="shared" si="11"/>
        <v>82.6</v>
      </c>
      <c r="J47" s="8"/>
    </row>
    <row r="48" s="2" customFormat="1" ht="18" customHeight="1" spans="1:10">
      <c r="A48" s="8">
        <v>46</v>
      </c>
      <c r="B48" s="8" t="str">
        <f>"23036211"</f>
        <v>23036211</v>
      </c>
      <c r="C48" s="8" t="str">
        <f>"230216"</f>
        <v>230216</v>
      </c>
      <c r="D48" s="8" t="s">
        <v>36</v>
      </c>
      <c r="E48" s="9" t="s">
        <v>12</v>
      </c>
      <c r="F48" s="8" t="str">
        <f>"张惜晶"</f>
        <v>张惜晶</v>
      </c>
      <c r="G48" s="10">
        <v>92</v>
      </c>
      <c r="H48" s="10">
        <v>67.5</v>
      </c>
      <c r="I48" s="14">
        <f t="shared" si="11"/>
        <v>82.2</v>
      </c>
      <c r="J48" s="8"/>
    </row>
    <row r="49" s="2" customFormat="1" ht="18" customHeight="1" spans="1:10">
      <c r="A49" s="8">
        <v>47</v>
      </c>
      <c r="B49" s="8" t="str">
        <f>"23036128"</f>
        <v>23036128</v>
      </c>
      <c r="C49" s="8" t="str">
        <f>"230301"</f>
        <v>230301</v>
      </c>
      <c r="D49" s="8" t="s">
        <v>37</v>
      </c>
      <c r="E49" s="9" t="s">
        <v>12</v>
      </c>
      <c r="F49" s="8" t="str">
        <f>"周青云"</f>
        <v>周青云</v>
      </c>
      <c r="G49" s="8">
        <v>85</v>
      </c>
      <c r="H49" s="8">
        <v>89</v>
      </c>
      <c r="I49" s="14">
        <f t="shared" si="11"/>
        <v>86.6</v>
      </c>
      <c r="J49" s="8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朱家懿</cp:lastModifiedBy>
  <dcterms:created xsi:type="dcterms:W3CDTF">2023-05-08T01:46:00Z</dcterms:created>
  <dcterms:modified xsi:type="dcterms:W3CDTF">2023-05-11T09:22:13Z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A8C3007D48404F3BAC34C4565BC07BC7_13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